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Holes Plan" sheetId="1" r:id="rId1"/>
    <sheet name="CEP Models" sheetId="2" state="hidden" r:id="rId2"/>
  </sheets>
  <definedNames>
    <definedName name="EdgeToFirstPanelEdge">'Holes Plan'!$C$21</definedName>
    <definedName name="EdgeToLastPanelEdge">'Holes Plan'!$C$22</definedName>
    <definedName name="ExtraDivide">'Holes Plan'!$C$18</definedName>
    <definedName name="FirstHole">'Holes Plan'!$C$19</definedName>
    <definedName name="FirstPanelHole">'Holes Plan'!$C$23</definedName>
    <definedName name="LastHole">'Holes Plan'!$C$20</definedName>
    <definedName name="Length_Difference">'Holes Plan'!$C$15</definedName>
    <definedName name="Length_Feet">'Holes Plan'!$C$2</definedName>
    <definedName name="Length_mm">'Holes Plan'!$C$3</definedName>
    <definedName name="LessOrExtraLength">'Holes Plan'!$C$16</definedName>
    <definedName name="M1Length">'Holes Plan'!$C$5</definedName>
    <definedName name="M2Length">'Holes Plan'!$C$6</definedName>
    <definedName name="MinLperPanel">'Holes Plan'!$C$13</definedName>
    <definedName name="NetPanelToPanelGap">'Holes Plan'!$C$25</definedName>
    <definedName name="P1H1">'Holes Plan'!$G$5</definedName>
    <definedName name="P1H2">'Holes Plan'!$G$6</definedName>
    <definedName name="P2H1">'Holes Plan'!$G$7</definedName>
    <definedName name="P2H2">'Holes Plan'!$G$8</definedName>
    <definedName name="P3H1">'Holes Plan'!$G$9</definedName>
    <definedName name="P3H2">'Holes Plan'!$G$10</definedName>
    <definedName name="P4H1">'Holes Plan'!$G$11</definedName>
    <definedName name="P4H2">'Holes Plan'!$G$12</definedName>
    <definedName name="P5H1">'Holes Plan'!$G$13</definedName>
    <definedName name="P5H2">'Holes Plan'!$G$14</definedName>
    <definedName name="P6H1">'Holes Plan'!$G$15</definedName>
    <definedName name="P6H2">'Holes Plan'!$G$16</definedName>
    <definedName name="P7H1">'Holes Plan'!$G$17</definedName>
    <definedName name="P7H2">'Holes Plan'!$G$18</definedName>
    <definedName name="P8H1">'Holes Plan'!$G$19</definedName>
    <definedName name="P8H2">'Holes Plan'!$G$20</definedName>
    <definedName name="P9H1">'Holes Plan'!$G$21</definedName>
    <definedName name="P9H2">'Holes Plan'!$G$22</definedName>
    <definedName name="Panel_EdgeToHole">'CEP Models'!$T$4:$T$22</definedName>
    <definedName name="PanelEdgetoHole_mm">'Holes Plan'!$C$12</definedName>
    <definedName name="PanelGap">'Holes Plan'!$C$4</definedName>
    <definedName name="PanelHeight">'CEP Models'!$N$4:$N$22</definedName>
    <definedName name="PanelImp">'CEP Models'!$G$4:$G$22</definedName>
    <definedName name="PanelModel">'CEP Models'!$A$4:$A$9</definedName>
    <definedName name="PanelsPossible">'Holes Plan'!$C$14</definedName>
    <definedName name="PaneltcImp">'CEP Models'!$I$4:$I$22</definedName>
    <definedName name="PaneltcVoc">'CEP Models'!$H$4:$H$22</definedName>
    <definedName name="PanelThickness">'CEP Models'!$P$4:$P$22</definedName>
    <definedName name="PanelType">'CEP Models'!$C$4:$C$22</definedName>
    <definedName name="PanelVmp">'CEP Models'!$F$4:$F$22</definedName>
    <definedName name="PanelVoc">'CEP Models'!$E$4:$E$22</definedName>
    <definedName name="PanelWattage">'CEP Models'!$B$4:$B$22</definedName>
    <definedName name="PanelWidth">'CEP Models'!$O$4:$O$22</definedName>
    <definedName name="PanelWidth_H1toH2">'CEP Models'!$R$4:$R$22</definedName>
    <definedName name="PXHY_Hole2Hole">'Holes Plan'!$C$24</definedName>
    <definedName name="SelectedPanel_H">'Holes Plan'!$C$9</definedName>
    <definedName name="SelectedPanel_H1H2">'Holes Plan'!$C$11</definedName>
    <definedName name="SelectedPanel_W">'Holes Plan'!$C$10</definedName>
    <definedName name="TotalNosOfHoles">'Holes Plan'!$C$17</definedName>
  </definedNames>
  <calcPr fullCalcOnLoad="1"/>
</workbook>
</file>

<file path=xl/sharedStrings.xml><?xml version="1.0" encoding="utf-8"?>
<sst xmlns="http://schemas.openxmlformats.org/spreadsheetml/2006/main" count="80" uniqueCount="73">
  <si>
    <t>Poly</t>
  </si>
  <si>
    <t>Mono</t>
  </si>
  <si>
    <t>Imp</t>
  </si>
  <si>
    <t>Vmp</t>
  </si>
  <si>
    <t>Voc</t>
  </si>
  <si>
    <t>Type</t>
  </si>
  <si>
    <t>Wp</t>
  </si>
  <si>
    <t>Panel Model</t>
  </si>
  <si>
    <t>Voc/cell</t>
  </si>
  <si>
    <t>Vmp/cell</t>
  </si>
  <si>
    <t>tcVoc</t>
  </si>
  <si>
    <t>tcImp</t>
  </si>
  <si>
    <t>CEP-80M/12</t>
  </si>
  <si>
    <t>CEP-100M/12</t>
  </si>
  <si>
    <t>CEP-150M/12</t>
  </si>
  <si>
    <t>CEP-240P-60</t>
  </si>
  <si>
    <t>CEP-250M-60</t>
  </si>
  <si>
    <t>CEP-250P-60</t>
  </si>
  <si>
    <t>Module Size (mm)</t>
  </si>
  <si>
    <t>Width (mm)</t>
  </si>
  <si>
    <t>Panel Hole</t>
  </si>
  <si>
    <t>Height</t>
  </si>
  <si>
    <t>Width</t>
  </si>
  <si>
    <t>Thickness</t>
  </si>
  <si>
    <t>Of 2 Holes</t>
  </si>
  <si>
    <t>From Edge</t>
  </si>
  <si>
    <t>Panel Height</t>
  </si>
  <si>
    <t>Panel Width</t>
  </si>
  <si>
    <t>Panel Hole to Hole Gap H</t>
  </si>
  <si>
    <t>Gap Between Two Panels</t>
  </si>
  <si>
    <t>M1 - Mounting Hole Length</t>
  </si>
  <si>
    <t>M2 - Mounting Hole Length</t>
  </si>
  <si>
    <t>Nos. of Panels Possible</t>
  </si>
  <si>
    <t>Length Required for Panel(s)</t>
  </si>
  <si>
    <t>Total Nos. of Holes Required</t>
  </si>
  <si>
    <t>Panel's Edge to Hole</t>
  </si>
  <si>
    <t>Edge to Edge distance bet Panels</t>
  </si>
  <si>
    <r>
      <t xml:space="preserve">Length Edge-A to </t>
    </r>
    <r>
      <rPr>
        <b/>
        <sz val="10"/>
        <color indexed="10"/>
        <rFont val="Calibri"/>
        <family val="2"/>
      </rPr>
      <t>First</t>
    </r>
    <r>
      <rPr>
        <sz val="10"/>
        <rFont val="Calibri"/>
        <family val="2"/>
      </rPr>
      <t xml:space="preserve"> Panel Edge</t>
    </r>
  </si>
  <si>
    <r>
      <t xml:space="preserve">Length Edge-B to </t>
    </r>
    <r>
      <rPr>
        <b/>
        <sz val="10"/>
        <color indexed="30"/>
        <rFont val="Calibri"/>
        <family val="2"/>
      </rPr>
      <t>Last</t>
    </r>
    <r>
      <rPr>
        <sz val="10"/>
        <rFont val="Calibri"/>
        <family val="2"/>
      </rPr>
      <t xml:space="preserve"> Panel Edge</t>
    </r>
  </si>
  <si>
    <t>PXH2 to PYH1 (Panles Hole2Hole)</t>
  </si>
  <si>
    <r>
      <rPr>
        <b/>
        <u val="single"/>
        <sz val="10"/>
        <color indexed="30"/>
        <rFont val="Calibri"/>
        <family val="2"/>
      </rPr>
      <t>Last Mount Hole</t>
    </r>
    <r>
      <rPr>
        <sz val="10"/>
        <rFont val="Calibri"/>
        <family val="2"/>
      </rPr>
      <t xml:space="preserve"> incl Extra Divide</t>
    </r>
  </si>
  <si>
    <r>
      <rPr>
        <b/>
        <u val="single"/>
        <sz val="10"/>
        <color indexed="10"/>
        <rFont val="Calibri"/>
        <family val="2"/>
      </rPr>
      <t>First Mount Hole</t>
    </r>
    <r>
      <rPr>
        <sz val="10"/>
        <rFont val="Calibri"/>
        <family val="2"/>
      </rPr>
      <t xml:space="preserve"> incl Extra Divide</t>
    </r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</si>
  <si>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</si>
  <si>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</si>
  <si>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</si>
  <si>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</si>
  <si>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</si>
  <si>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</si>
  <si>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</si>
  <si>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</si>
  <si>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</si>
  <si>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M1</t>
  </si>
  <si>
    <t>M2</t>
  </si>
  <si>
    <t>Panel &amp; Hole Numbers</t>
  </si>
  <si>
    <t>Less or Extra Length</t>
  </si>
  <si>
    <t>Less/Extra Divide per Gap/Side</t>
  </si>
  <si>
    <t>Min Length Required Per Panel</t>
  </si>
  <si>
    <r>
      <t xml:space="preserve">Length Edge-A to </t>
    </r>
    <r>
      <rPr>
        <b/>
        <sz val="10"/>
        <color indexed="30"/>
        <rFont val="Calibri"/>
        <family val="2"/>
      </rPr>
      <t>Last</t>
    </r>
    <r>
      <rPr>
        <sz val="10"/>
        <rFont val="Calibri"/>
        <family val="2"/>
      </rPr>
      <t xml:space="preserve"> Panel Hole</t>
    </r>
  </si>
  <si>
    <r>
      <t xml:space="preserve">Length Edge-B to </t>
    </r>
    <r>
      <rPr>
        <b/>
        <sz val="10"/>
        <color indexed="30"/>
        <rFont val="Calibri"/>
        <family val="2"/>
      </rPr>
      <t>Last</t>
    </r>
    <r>
      <rPr>
        <sz val="10"/>
        <rFont val="Calibri"/>
        <family val="2"/>
      </rPr>
      <t xml:space="preserve"> Mount Hole</t>
    </r>
  </si>
  <si>
    <r>
      <t xml:space="preserve">Length Edge-A to </t>
    </r>
    <r>
      <rPr>
        <b/>
        <sz val="10"/>
        <color indexed="10"/>
        <rFont val="Calibri"/>
        <family val="2"/>
      </rPr>
      <t>First</t>
    </r>
    <r>
      <rPr>
        <sz val="10"/>
        <rFont val="Calibri"/>
        <family val="2"/>
      </rPr>
      <t xml:space="preserve"> Panel Hole</t>
    </r>
  </si>
  <si>
    <t>Enter the gap in mm between tow panels</t>
  </si>
  <si>
    <t>If you want to have extra length for making side mounting hole</t>
  </si>
  <si>
    <t xml:space="preserve">Select Comtec Energy Solar Panel Model Here </t>
  </si>
  <si>
    <t>Metal Piece/Strip Length in Feet</t>
  </si>
  <si>
    <t>Equivalent Length in mm</t>
  </si>
  <si>
    <t>Enter the length of metal piece for making holes for Panels mounting</t>
  </si>
  <si>
    <t>Hole #</t>
  </si>
  <si>
    <t>At mm</t>
  </si>
  <si>
    <t>Selected Panel Dimensions</t>
  </si>
  <si>
    <t>Initial estimate of total number(s) of selected size panels for given length</t>
  </si>
  <si>
    <t>Estimated length required for given size of panel and other inputs</t>
  </si>
  <si>
    <t>The length of piece remaining</t>
  </si>
  <si>
    <t>Remaining length diving per space on sides and between panels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</si>
</sst>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[$Wp]\ "/>
    <numFmt numFmtId="165" formatCode="#,##0.00[$ Amp]"/>
    <numFmt numFmtId="166" formatCode="#,##0.00[$ V]"/>
    <numFmt numFmtId="167" formatCode="#,###\ [$°C]\ "/>
    <numFmt numFmtId="168" formatCode="#,##0.00\'_);\(&quot;$&quot;#,##0.00\)"/>
    <numFmt numFmtId="169" formatCode="#,###\ [$mm]\ "/>
  </numFmts>
  <fonts count="5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1"/>
      <color rgb="FF1F497D"/>
      <name val="Calibri"/>
      <family val="2"/>
    </font>
    <font>
      <b/>
      <sz val="10"/>
      <color theme="0"/>
      <name val="Calibri"/>
      <family val="2"/>
    </font>
    <font>
      <u val="single"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B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95B3D7"/>
      </bottom>
    </border>
    <border>
      <left style="thin">
        <color theme="0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/>
    </xf>
    <xf numFmtId="0" fontId="47" fillId="0" borderId="0" xfId="53" applyFont="1" applyBorder="1" applyAlignment="1">
      <alignment horizontal="center"/>
    </xf>
    <xf numFmtId="0" fontId="47" fillId="0" borderId="10" xfId="51" applyFont="1" applyBorder="1" applyAlignment="1">
      <alignment horizontal="center"/>
    </xf>
    <xf numFmtId="2" fontId="0" fillId="0" borderId="0" xfId="0" applyNumberFormat="1" applyAlignment="1">
      <alignment horizontal="center"/>
    </xf>
    <xf numFmtId="168" fontId="0" fillId="34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34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35" borderId="0" xfId="0" applyNumberFormat="1" applyFill="1" applyAlignment="1">
      <alignment horizontal="center"/>
    </xf>
    <xf numFmtId="3" fontId="0" fillId="35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7" fillId="0" borderId="0" xfId="53" applyFont="1" applyBorder="1" applyAlignment="1">
      <alignment horizontal="center"/>
    </xf>
    <xf numFmtId="0" fontId="48" fillId="38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0" fillId="0" borderId="0" xfId="46" applyFont="1" applyAlignment="1">
      <alignment/>
    </xf>
    <xf numFmtId="0" fontId="51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1 2" xfId="49"/>
    <cellStyle name="Heading 2" xfId="50"/>
    <cellStyle name="Heading 3" xfId="51"/>
    <cellStyle name="Heading 3 2" xfId="52"/>
    <cellStyle name="Heading 4" xfId="53"/>
    <cellStyle name="Heading 4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8.7109375" style="0" customWidth="1"/>
    <col min="3" max="3" width="12.7109375" style="0" customWidth="1"/>
    <col min="4" max="4" width="2.7109375" style="0" customWidth="1"/>
    <col min="5" max="5" width="60.7109375" style="0" customWidth="1"/>
    <col min="10" max="10" width="1.7109375" style="0" customWidth="1"/>
  </cols>
  <sheetData>
    <row r="2" spans="2:9" ht="12.75" customHeight="1">
      <c r="B2" t="s">
        <v>63</v>
      </c>
      <c r="C2" s="12">
        <v>10.3</v>
      </c>
      <c r="E2" s="40" t="s">
        <v>65</v>
      </c>
      <c r="H2" s="30" t="s">
        <v>53</v>
      </c>
      <c r="I2" s="30"/>
    </row>
    <row r="3" spans="2:9" ht="12.75">
      <c r="B3" t="s">
        <v>64</v>
      </c>
      <c r="C3" s="13">
        <f>ROUNDDOWN(Length_Feet*12*25.4,0)</f>
        <v>3139</v>
      </c>
      <c r="F3" s="2" t="s">
        <v>66</v>
      </c>
      <c r="G3" s="2" t="s">
        <v>67</v>
      </c>
      <c r="H3" s="30"/>
      <c r="I3" s="30"/>
    </row>
    <row r="4" spans="2:9" ht="12.75">
      <c r="B4" t="s">
        <v>29</v>
      </c>
      <c r="C4" s="14">
        <v>30</v>
      </c>
      <c r="E4" s="40" t="s">
        <v>60</v>
      </c>
      <c r="F4" s="2">
        <v>1</v>
      </c>
      <c r="G4" s="18">
        <f>FirstHole</f>
        <v>42.83333333333333</v>
      </c>
      <c r="H4" s="29" t="s">
        <v>51</v>
      </c>
      <c r="I4" s="29"/>
    </row>
    <row r="5" spans="2:9" ht="12.75">
      <c r="B5" t="s">
        <v>30</v>
      </c>
      <c r="C5" s="14">
        <v>50</v>
      </c>
      <c r="E5" s="40" t="s">
        <v>61</v>
      </c>
      <c r="F5" s="2">
        <v>2</v>
      </c>
      <c r="G5" s="18">
        <f>FirstPanelHole</f>
        <v>110.66666666666666</v>
      </c>
      <c r="H5" s="31" t="s">
        <v>42</v>
      </c>
      <c r="I5" s="19" t="str">
        <f aca="true" t="shared" si="0" ref="I5:I20">IF(2*PanelsPossible+1&lt;F5,"",IF(ISEVEN(F5),"H1","H2"))</f>
        <v>H1</v>
      </c>
    </row>
    <row r="6" spans="2:9" ht="12.75">
      <c r="B6" t="s">
        <v>31</v>
      </c>
      <c r="C6" s="14">
        <v>50</v>
      </c>
      <c r="E6" s="40" t="s">
        <v>61</v>
      </c>
      <c r="F6" s="2">
        <v>3</v>
      </c>
      <c r="G6" s="18">
        <f>IF(2*PanelsPossible+1&lt;F6,"",IF(ISEVEN(F6),P1H1+PXHY_Hole2Hole,P1H1+SelectedPanel_H1H2))</f>
        <v>601.6666666666666</v>
      </c>
      <c r="H6" s="31"/>
      <c r="I6" s="19" t="str">
        <f t="shared" si="0"/>
        <v>H2</v>
      </c>
    </row>
    <row r="7" spans="6:9" ht="12.75">
      <c r="F7" s="2">
        <v>4</v>
      </c>
      <c r="G7" s="18">
        <f>IF(2*PanelsPossible+1&lt;F7,"",IF(ISEVEN(F7),P1H2+PXHY_Hole2Hole,P1H2+SelectedPanel_H1H2))</f>
        <v>717.3333333333333</v>
      </c>
      <c r="H7" s="32" t="s">
        <v>43</v>
      </c>
      <c r="I7" s="20" t="str">
        <f t="shared" si="0"/>
        <v>H1</v>
      </c>
    </row>
    <row r="8" spans="2:9" ht="12.75">
      <c r="B8" s="1" t="s">
        <v>7</v>
      </c>
      <c r="C8" s="5" t="s">
        <v>13</v>
      </c>
      <c r="E8" s="40" t="s">
        <v>62</v>
      </c>
      <c r="F8" s="2">
        <v>5</v>
      </c>
      <c r="G8" s="18">
        <f>IF(2*PanelsPossible+1&lt;F8,"",IF(ISEVEN(F8),P2H1+PXHY_Hole2Hole,P2H1+SelectedPanel_H1H2))</f>
        <v>1208.3333333333333</v>
      </c>
      <c r="H8" s="32"/>
      <c r="I8" s="20" t="str">
        <f t="shared" si="0"/>
        <v>H2</v>
      </c>
    </row>
    <row r="9" spans="2:9" ht="12.75">
      <c r="B9" s="1" t="s">
        <v>26</v>
      </c>
      <c r="C9" s="15">
        <f>LOOKUP(C8,PanelModel,PanelHeight)</f>
        <v>1195</v>
      </c>
      <c r="E9" s="41" t="s">
        <v>68</v>
      </c>
      <c r="F9" s="2">
        <v>6</v>
      </c>
      <c r="G9" s="18">
        <f>IF(2*PanelsPossible+1&lt;F9,"",IF(ISEVEN(F9),P2H2+PXHY_Hole2Hole,P2H2+SelectedPanel_H1H2))</f>
        <v>1324</v>
      </c>
      <c r="H9" s="33" t="s">
        <v>44</v>
      </c>
      <c r="I9" s="21" t="str">
        <f t="shared" si="0"/>
        <v>H1</v>
      </c>
    </row>
    <row r="10" spans="2:9" ht="12.75">
      <c r="B10" s="1" t="s">
        <v>27</v>
      </c>
      <c r="C10" s="15">
        <f>LOOKUP(C8,PanelModel,PanelWidth)</f>
        <v>541</v>
      </c>
      <c r="E10" s="41"/>
      <c r="F10" s="2">
        <v>7</v>
      </c>
      <c r="G10" s="18">
        <f>IF(2*PanelsPossible+1&lt;F10,"",IF(ISEVEN(F10),P3H1+PXHY_Hole2Hole,P3H1+SelectedPanel_H1H2))</f>
        <v>1815</v>
      </c>
      <c r="H10" s="33"/>
      <c r="I10" s="21" t="str">
        <f t="shared" si="0"/>
        <v>H2</v>
      </c>
    </row>
    <row r="11" spans="2:9" ht="12.75">
      <c r="B11" s="1" t="s">
        <v>28</v>
      </c>
      <c r="C11" s="15">
        <f>LOOKUP(C8,PanelModel,PanelWidth_H1toH2)</f>
        <v>491</v>
      </c>
      <c r="E11" s="41"/>
      <c r="F11" s="2">
        <v>8</v>
      </c>
      <c r="G11" s="18">
        <f>IF(2*PanelsPossible+1&lt;F11,"",IF(ISEVEN(F11),P3H2+PXHY_Hole2Hole,P3H2+SelectedPanel_H1H2))</f>
        <v>1930.6666666666667</v>
      </c>
      <c r="H11" s="34" t="s">
        <v>45</v>
      </c>
      <c r="I11" s="22" t="str">
        <f t="shared" si="0"/>
        <v>H1</v>
      </c>
    </row>
    <row r="12" spans="2:9" ht="12.75">
      <c r="B12" s="1" t="s">
        <v>35</v>
      </c>
      <c r="C12" s="15">
        <f>LOOKUP(C8,PanelModel,Panel_EdgeToHole)</f>
        <v>25</v>
      </c>
      <c r="E12" s="41"/>
      <c r="F12" s="2">
        <v>9</v>
      </c>
      <c r="G12" s="18">
        <f>IF(2*PanelsPossible+1&lt;F12,"",IF(ISEVEN(F12),P4H1+PXHY_Hole2Hole,P4H1+SelectedPanel_H1H2))</f>
        <v>2421.666666666667</v>
      </c>
      <c r="H12" s="34"/>
      <c r="I12" s="22" t="str">
        <f t="shared" si="0"/>
        <v>H2</v>
      </c>
    </row>
    <row r="13" spans="2:9" ht="12.75">
      <c r="B13" s="1" t="s">
        <v>56</v>
      </c>
      <c r="C13" s="16">
        <f>IF(AND(Length_mm&gt;=(M1Length+SelectedPanel_W+M2Length),Length_mm&gt;=2*(M1Length+SelectedPanel_W+M2Length)),SelectedPanel_W+PanelGap/2,SelectedPanel_W)</f>
        <v>556</v>
      </c>
      <c r="F13" s="2">
        <v>10</v>
      </c>
      <c r="G13" s="18">
        <f>IF(2*PanelsPossible+1&lt;F13,"",IF(ISEVEN(F13),P4H2+PXHY_Hole2Hole,P4H2+SelectedPanel_H1H2))</f>
        <v>2537.3333333333335</v>
      </c>
      <c r="H13" s="35" t="s">
        <v>46</v>
      </c>
      <c r="I13" s="23" t="str">
        <f t="shared" si="0"/>
        <v>H1</v>
      </c>
    </row>
    <row r="14" spans="2:9" ht="12.75">
      <c r="B14" s="1" t="s">
        <v>32</v>
      </c>
      <c r="C14" s="17">
        <f>ROUNDDOWN(Length_mm/MinLperPanel,0)</f>
        <v>5</v>
      </c>
      <c r="E14" s="40" t="s">
        <v>69</v>
      </c>
      <c r="F14" s="2">
        <v>11</v>
      </c>
      <c r="G14" s="18">
        <f>IF(2*PanelsPossible+1&lt;F14,"",IF(ISEVEN(F14),P5H1+PXHY_Hole2Hole,P5H1+SelectedPanel_H1H2))</f>
        <v>3028.3333333333335</v>
      </c>
      <c r="H14" s="35"/>
      <c r="I14" s="23" t="str">
        <f t="shared" si="0"/>
        <v>H2</v>
      </c>
    </row>
    <row r="15" spans="2:9" ht="12.75">
      <c r="B15" s="1" t="s">
        <v>33</v>
      </c>
      <c r="C15" s="16">
        <f>M1Length+PanelsPossible*SelectedPanel_W+(PanelsPossible-1)*PanelGap+M2Length</f>
        <v>2925</v>
      </c>
      <c r="E15" s="40" t="s">
        <v>70</v>
      </c>
      <c r="F15" s="2">
        <v>12</v>
      </c>
      <c r="G15" s="18">
        <f>IF(2*PanelsPossible+1&lt;F15,"",IF(ISEVEN(F15),P5H2+PXHY_Hole2Hole,P5H2+SelectedPanel_H1H2))</f>
      </c>
      <c r="H15" s="36" t="s">
        <v>47</v>
      </c>
      <c r="I15" s="24">
        <f t="shared" si="0"/>
      </c>
    </row>
    <row r="16" spans="2:9" ht="12.75">
      <c r="B16" s="1" t="s">
        <v>54</v>
      </c>
      <c r="C16" s="16">
        <f>Length_mm-Length_Difference</f>
        <v>214</v>
      </c>
      <c r="E16" s="40" t="s">
        <v>71</v>
      </c>
      <c r="F16" s="2">
        <v>13</v>
      </c>
      <c r="G16" s="18">
        <f>IF(2*PanelsPossible+1&lt;F16,"",IF(ISEVEN(F16),P6H1+PXHY_Hole2Hole,P6H1+SelectedPanel_H1H2))</f>
      </c>
      <c r="H16" s="36"/>
      <c r="I16" s="24">
        <f t="shared" si="0"/>
      </c>
    </row>
    <row r="17" spans="2:9" ht="12.75">
      <c r="B17" s="1" t="s">
        <v>34</v>
      </c>
      <c r="C17" s="17">
        <f>IF(M1Length,1,0)+IF(M2Length,1,0)+PanelsPossible*2</f>
        <v>12</v>
      </c>
      <c r="F17" s="2">
        <v>14</v>
      </c>
      <c r="G17" s="18">
        <f>IF(2*PanelsPossible+1&lt;F17,"",IF(ISEVEN(F17),P6H2+PXHY_Hole2Hole,P6H2+SelectedPanel_H1H2))</f>
      </c>
      <c r="H17" s="37" t="s">
        <v>48</v>
      </c>
      <c r="I17" s="25">
        <f t="shared" si="0"/>
      </c>
    </row>
    <row r="18" spans="2:9" ht="12.75">
      <c r="B18" s="1" t="s">
        <v>55</v>
      </c>
      <c r="C18" s="16">
        <f>LessOrExtraLength/(IF(M1Length,1,0)+IF(M2Length,1,0)+PanelsPossible-1)</f>
        <v>35.666666666666664</v>
      </c>
      <c r="E18" s="40" t="s">
        <v>72</v>
      </c>
      <c r="F18" s="2">
        <v>15</v>
      </c>
      <c r="G18" s="18">
        <f>IF(2*PanelsPossible+1&lt;F18,"",IF(ISEVEN(F18),P7H1+PXHY_Hole2Hole,P7H1+SelectedPanel_H1H2))</f>
      </c>
      <c r="H18" s="37"/>
      <c r="I18" s="25">
        <f t="shared" si="0"/>
      </c>
    </row>
    <row r="19" spans="2:9" ht="12.75">
      <c r="B19" s="1" t="s">
        <v>41</v>
      </c>
      <c r="C19" s="16">
        <f>IF(AND(PanelsPossible,M1Length),(M1Length+ExtraDivide)/2,FALSE)</f>
        <v>42.83333333333333</v>
      </c>
      <c r="F19" s="2">
        <v>16</v>
      </c>
      <c r="G19" s="18">
        <f>IF(2*PanelsPossible+1&lt;F19,"",IF(ISEVEN(F19),P7H2+PXHY_Hole2Hole,P7H2+SelectedPanel_H1H2))</f>
      </c>
      <c r="H19" s="38" t="s">
        <v>49</v>
      </c>
      <c r="I19" s="26">
        <f t="shared" si="0"/>
      </c>
    </row>
    <row r="20" spans="2:9" ht="12.75">
      <c r="B20" s="1" t="s">
        <v>40</v>
      </c>
      <c r="C20" s="16">
        <f>IF(M2Length,(IF(M1Length,M1Length+ExtraDivide,0))+(PanelsPossible*SelectedPanel_W)+(PanelsPossible-1)*NetPanelToPanelGap+EdgeToLastPanelEdge/2,FALSE)</f>
        <v>3096.1666666666665</v>
      </c>
      <c r="F20" s="2">
        <v>17</v>
      </c>
      <c r="G20" s="18">
        <f>IF(2*PanelsPossible+1&lt;F20,"",IF(ISEVEN(F20),P8H1+PXHY_Hole2Hole,P8H1+SelectedPanel_H1H2))</f>
      </c>
      <c r="H20" s="38"/>
      <c r="I20" s="26">
        <f t="shared" si="0"/>
      </c>
    </row>
    <row r="21" spans="2:9" ht="12.75">
      <c r="B21" s="1" t="s">
        <v>37</v>
      </c>
      <c r="C21" s="16">
        <f>IF(M1Length,M1Length+ExtraDivide,"No Edge")</f>
        <v>85.66666666666666</v>
      </c>
      <c r="F21" s="2">
        <v>18</v>
      </c>
      <c r="G21" s="18">
        <f>IF(2*PanelsPossible+1&lt;F21,"",IF(ISEVEN(F21),P8H2+PXHY_Hole2Hole,P8H2+SelectedPanel_H1H2))</f>
      </c>
      <c r="H21" s="39" t="s">
        <v>50</v>
      </c>
      <c r="I21" s="27">
        <f>IF(2*PanelsPossible+1&lt;F22,"",IF(ISEVEN(F22),"H1","H2"))</f>
      </c>
    </row>
    <row r="22" spans="2:9" ht="12.75">
      <c r="B22" s="1" t="s">
        <v>38</v>
      </c>
      <c r="C22" s="16">
        <f>IF(M2Length,M2Length+ExtraDivide,"No Edge")</f>
        <v>85.66666666666666</v>
      </c>
      <c r="F22" s="2">
        <v>19</v>
      </c>
      <c r="G22" s="18">
        <f>IF(2*PanelsPossible+1&lt;F22,"",IF(ISEVEN(F22),P9H1+PXHY_Hole2Hole,P9H1+SelectedPanel_H1H2))</f>
      </c>
      <c r="H22" s="39"/>
      <c r="I22" s="27">
        <f>IF(2*PanelsPossible+1&lt;F22,"",IF(ISEVEN(F22),"H1","H2"))</f>
      </c>
    </row>
    <row r="23" spans="2:9" ht="12.75">
      <c r="B23" s="1" t="s">
        <v>59</v>
      </c>
      <c r="C23" s="16">
        <f>IF(M1Length,M1Length+ExtraDivide+PanelEdgetoHole_mm,PanelEdgetoHole_mm)</f>
        <v>110.66666666666666</v>
      </c>
      <c r="F23" s="2">
        <v>20</v>
      </c>
      <c r="G23" s="18">
        <f>LastHole</f>
        <v>3096.1666666666665</v>
      </c>
      <c r="H23" s="29" t="s">
        <v>52</v>
      </c>
      <c r="I23" s="29"/>
    </row>
    <row r="24" spans="2:3" ht="12.75">
      <c r="B24" s="1" t="s">
        <v>39</v>
      </c>
      <c r="C24" s="16">
        <f>PanelGap+ExtraDivide+2*PanelEdgetoHole_mm</f>
        <v>115.66666666666666</v>
      </c>
    </row>
    <row r="25" spans="2:3" ht="12.75">
      <c r="B25" s="1" t="s">
        <v>36</v>
      </c>
      <c r="C25" s="16">
        <f>PanelGap+ExtraDivide</f>
        <v>65.66666666666666</v>
      </c>
    </row>
    <row r="26" spans="2:3" ht="12.75">
      <c r="B26" s="1" t="s">
        <v>57</v>
      </c>
      <c r="C26" s="16">
        <f>IF(M1Length,M1Length+ExtraDivide,0)+(PanelsPossible*SelectedPanel_W)+(PanelsPossible-1)*NetPanelToPanelGap-PanelEdgetoHole_mm</f>
        <v>3028.333333333333</v>
      </c>
    </row>
    <row r="27" spans="2:3" ht="12.75">
      <c r="B27" s="1" t="s">
        <v>58</v>
      </c>
      <c r="C27" s="16">
        <f>IF(M2Length,LastHole,FALSE)</f>
        <v>3096.1666666666665</v>
      </c>
    </row>
  </sheetData>
  <sheetProtection/>
  <mergeCells count="13">
    <mergeCell ref="E9:E12"/>
    <mergeCell ref="H17:H18"/>
    <mergeCell ref="H19:H20"/>
    <mergeCell ref="H21:H22"/>
    <mergeCell ref="H4:I4"/>
    <mergeCell ref="H23:I23"/>
    <mergeCell ref="H2:I3"/>
    <mergeCell ref="H5:H6"/>
    <mergeCell ref="H7:H8"/>
    <mergeCell ref="H9:H10"/>
    <mergeCell ref="H11:H12"/>
    <mergeCell ref="H13:H14"/>
    <mergeCell ref="H15:H16"/>
  </mergeCells>
  <dataValidations count="1">
    <dataValidation type="list" allowBlank="1" showInputMessage="1" showErrorMessage="1" sqref="C8">
      <formula1>PanelModel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I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T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5.7109375" style="0" customWidth="1"/>
    <col min="3" max="3" width="7.00390625" style="0" customWidth="1"/>
    <col min="4" max="4" width="1.7109375" style="0" customWidth="1"/>
    <col min="5" max="9" width="6.7109375" style="0" customWidth="1"/>
    <col min="10" max="10" width="1.7109375" style="0" customWidth="1"/>
    <col min="11" max="12" width="9.140625" style="0" customWidth="1"/>
    <col min="13" max="13" width="1.7109375" style="0" customWidth="1"/>
    <col min="17" max="17" width="1.7109375" style="0" customWidth="1"/>
    <col min="18" max="18" width="12.7109375" style="0" customWidth="1"/>
    <col min="19" max="19" width="1.7109375" style="0" customWidth="1"/>
    <col min="20" max="20" width="12.7109375" style="0" customWidth="1"/>
  </cols>
  <sheetData>
    <row r="2" spans="13:20" ht="15">
      <c r="M2" s="8"/>
      <c r="N2" s="28" t="s">
        <v>18</v>
      </c>
      <c r="O2" s="28"/>
      <c r="P2" s="28"/>
      <c r="Q2" s="8"/>
      <c r="R2" s="9" t="s">
        <v>19</v>
      </c>
      <c r="S2" s="8"/>
      <c r="T2" s="9" t="s">
        <v>20</v>
      </c>
    </row>
    <row r="3" spans="1:20" ht="15.75" thickBot="1">
      <c r="A3" s="4" t="s">
        <v>7</v>
      </c>
      <c r="B3" s="3" t="s">
        <v>6</v>
      </c>
      <c r="C3" s="4" t="s">
        <v>5</v>
      </c>
      <c r="E3" s="3" t="s">
        <v>4</v>
      </c>
      <c r="F3" s="3" t="s">
        <v>3</v>
      </c>
      <c r="G3" s="3" t="s">
        <v>2</v>
      </c>
      <c r="H3" s="3" t="s">
        <v>10</v>
      </c>
      <c r="I3" s="3" t="s">
        <v>11</v>
      </c>
      <c r="K3" s="3" t="s">
        <v>8</v>
      </c>
      <c r="L3" s="3" t="s">
        <v>9</v>
      </c>
      <c r="M3" s="8"/>
      <c r="N3" s="10" t="s">
        <v>21</v>
      </c>
      <c r="O3" s="10" t="s">
        <v>22</v>
      </c>
      <c r="P3" s="10" t="s">
        <v>23</v>
      </c>
      <c r="Q3" s="8"/>
      <c r="R3" s="10" t="s">
        <v>24</v>
      </c>
      <c r="S3" s="8"/>
      <c r="T3" s="10" t="s">
        <v>25</v>
      </c>
    </row>
    <row r="4" spans="1:20" ht="12.75">
      <c r="A4" t="s">
        <v>13</v>
      </c>
      <c r="B4">
        <v>100</v>
      </c>
      <c r="C4" t="s">
        <v>1</v>
      </c>
      <c r="E4">
        <v>22.5</v>
      </c>
      <c r="F4">
        <v>18.9</v>
      </c>
      <c r="G4">
        <v>5.29</v>
      </c>
      <c r="H4">
        <v>-0.333</v>
      </c>
      <c r="I4">
        <v>0.03</v>
      </c>
      <c r="K4" s="6">
        <f>E4/36</f>
        <v>0.625</v>
      </c>
      <c r="L4" s="6">
        <f>F4/36</f>
        <v>0.5249999999999999</v>
      </c>
      <c r="N4" s="2">
        <v>1195</v>
      </c>
      <c r="O4" s="2">
        <v>541</v>
      </c>
      <c r="P4" s="2">
        <v>35</v>
      </c>
      <c r="R4" s="2">
        <v>491</v>
      </c>
      <c r="T4" s="11">
        <v>25</v>
      </c>
    </row>
    <row r="5" spans="1:20" ht="12.75">
      <c r="A5" t="s">
        <v>14</v>
      </c>
      <c r="B5">
        <v>150</v>
      </c>
      <c r="C5" t="s">
        <v>1</v>
      </c>
      <c r="E5">
        <v>22.4</v>
      </c>
      <c r="F5">
        <v>18.2</v>
      </c>
      <c r="G5">
        <v>8.24</v>
      </c>
      <c r="H5">
        <v>-0.31</v>
      </c>
      <c r="I5">
        <v>0.03</v>
      </c>
      <c r="K5" s="6">
        <f>E5/36</f>
        <v>0.6222222222222222</v>
      </c>
      <c r="L5" s="6">
        <f>F5/36</f>
        <v>0.5055555555555555</v>
      </c>
      <c r="N5" s="2">
        <v>1482</v>
      </c>
      <c r="O5" s="2">
        <v>676</v>
      </c>
      <c r="P5" s="2">
        <v>35</v>
      </c>
      <c r="R5" s="2">
        <v>626</v>
      </c>
      <c r="T5" s="11">
        <v>25</v>
      </c>
    </row>
    <row r="6" spans="1:20" ht="12.75">
      <c r="A6" t="s">
        <v>15</v>
      </c>
      <c r="B6">
        <v>240</v>
      </c>
      <c r="C6" t="s">
        <v>0</v>
      </c>
      <c r="E6">
        <v>37.35</v>
      </c>
      <c r="F6">
        <v>30.89</v>
      </c>
      <c r="G6">
        <v>7.77</v>
      </c>
      <c r="H6">
        <v>-0.34</v>
      </c>
      <c r="I6">
        <v>0.06</v>
      </c>
      <c r="K6" s="6">
        <f aca="true" t="shared" si="0" ref="K6:L8">E6/60</f>
        <v>0.6225</v>
      </c>
      <c r="L6" s="6">
        <f t="shared" si="0"/>
        <v>0.5148333333333334</v>
      </c>
      <c r="N6" s="2">
        <v>1650</v>
      </c>
      <c r="O6" s="2">
        <v>992</v>
      </c>
      <c r="P6" s="2">
        <v>40</v>
      </c>
      <c r="R6" s="2">
        <v>942</v>
      </c>
      <c r="T6" s="11">
        <v>25</v>
      </c>
    </row>
    <row r="7" spans="1:20" ht="12.75">
      <c r="A7" t="s">
        <v>16</v>
      </c>
      <c r="B7">
        <v>250</v>
      </c>
      <c r="C7" t="s">
        <v>1</v>
      </c>
      <c r="E7">
        <v>38</v>
      </c>
      <c r="F7">
        <v>30.5</v>
      </c>
      <c r="G7">
        <v>8.2</v>
      </c>
      <c r="H7">
        <v>-0.34</v>
      </c>
      <c r="I7">
        <v>0.06</v>
      </c>
      <c r="K7" s="6">
        <f t="shared" si="0"/>
        <v>0.6333333333333333</v>
      </c>
      <c r="L7" s="6">
        <f t="shared" si="0"/>
        <v>0.5083333333333333</v>
      </c>
      <c r="N7" s="2">
        <v>1650</v>
      </c>
      <c r="O7" s="2">
        <v>992</v>
      </c>
      <c r="P7" s="2">
        <v>40</v>
      </c>
      <c r="R7" s="2">
        <v>942</v>
      </c>
      <c r="T7" s="11">
        <v>25</v>
      </c>
    </row>
    <row r="8" spans="1:20" ht="12.75">
      <c r="A8" t="s">
        <v>17</v>
      </c>
      <c r="B8">
        <v>250</v>
      </c>
      <c r="C8" t="s">
        <v>0</v>
      </c>
      <c r="E8">
        <v>37.58</v>
      </c>
      <c r="F8">
        <v>31.73</v>
      </c>
      <c r="G8">
        <v>7.88</v>
      </c>
      <c r="H8">
        <v>-0.34</v>
      </c>
      <c r="I8">
        <v>0.06</v>
      </c>
      <c r="K8" s="6">
        <f t="shared" si="0"/>
        <v>0.6263333333333333</v>
      </c>
      <c r="L8" s="6">
        <f t="shared" si="0"/>
        <v>0.5288333333333334</v>
      </c>
      <c r="N8" s="2">
        <v>1650</v>
      </c>
      <c r="O8" s="2">
        <v>992</v>
      </c>
      <c r="P8" s="2">
        <v>40</v>
      </c>
      <c r="R8" s="2">
        <v>942</v>
      </c>
      <c r="T8" s="11">
        <v>25</v>
      </c>
    </row>
    <row r="9" spans="1:20" ht="12.75">
      <c r="A9" t="s">
        <v>12</v>
      </c>
      <c r="B9">
        <v>80</v>
      </c>
      <c r="C9" t="s">
        <v>1</v>
      </c>
      <c r="E9">
        <v>21.9</v>
      </c>
      <c r="F9">
        <v>17.5</v>
      </c>
      <c r="G9">
        <v>4.56</v>
      </c>
      <c r="H9">
        <v>-0.333</v>
      </c>
      <c r="I9">
        <v>0.03</v>
      </c>
      <c r="K9" s="6">
        <f>E9/36</f>
        <v>0.6083333333333333</v>
      </c>
      <c r="L9" s="6">
        <f>F9/36</f>
        <v>0.4861111111111111</v>
      </c>
      <c r="N9" s="2">
        <v>1195</v>
      </c>
      <c r="O9" s="2">
        <v>541</v>
      </c>
      <c r="P9" s="2">
        <v>35</v>
      </c>
      <c r="R9" s="2">
        <v>491</v>
      </c>
      <c r="T9" s="11">
        <v>25</v>
      </c>
    </row>
    <row r="24" spans="1:20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</sheetData>
  <sheetProtection/>
  <mergeCells count="1">
    <mergeCell ref="N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Qazi Irfan</dc:creator>
  <cp:keywords/>
  <dc:description/>
  <cp:lastModifiedBy>Qazi Irfan</cp:lastModifiedBy>
  <cp:lastPrinted>2014-09-12T09:50:23Z</cp:lastPrinted>
  <dcterms:created xsi:type="dcterms:W3CDTF">2014-07-20T11:36:36Z</dcterms:created>
  <dcterms:modified xsi:type="dcterms:W3CDTF">2014-10-24T13:26:22Z</dcterms:modified>
  <cp:category/>
  <cp:version/>
  <cp:contentType/>
  <cp:contentStatus/>
</cp:coreProperties>
</file>